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Cloud - Privat\Haus\"/>
    </mc:Choice>
  </mc:AlternateContent>
  <xr:revisionPtr revIDLastSave="0" documentId="13_ncr:1_{8BAE3941-0588-4106-8AEA-C7BEB6DE497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Tabelle1" sheetId="1" r:id="rId1"/>
    <sheet name="Cordes Elektro" sheetId="4" r:id="rId2"/>
    <sheet name="Tabelle2" sheetId="2" r:id="rId3"/>
    <sheet name="Tabelle3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1" i="1" l="1"/>
  <c r="E12" i="1"/>
  <c r="D55" i="1"/>
  <c r="C70" i="1"/>
  <c r="C69" i="1"/>
  <c r="C68" i="1"/>
  <c r="C30" i="1"/>
  <c r="C29" i="1"/>
  <c r="D62" i="1"/>
  <c r="E62" i="1" s="1"/>
  <c r="N71" i="1"/>
  <c r="E43" i="4"/>
  <c r="E42" i="4"/>
  <c r="F36" i="4"/>
  <c r="F37" i="4"/>
  <c r="F38" i="4"/>
  <c r="F39" i="4"/>
  <c r="F40" i="4"/>
  <c r="E36" i="4"/>
  <c r="F34" i="4"/>
  <c r="F35" i="4"/>
  <c r="F33" i="4"/>
  <c r="E35" i="4"/>
  <c r="E34" i="4"/>
  <c r="E33" i="4"/>
  <c r="F31" i="4"/>
  <c r="F27" i="4"/>
  <c r="F28" i="4"/>
  <c r="F26" i="4"/>
  <c r="E28" i="4"/>
  <c r="E27" i="4"/>
  <c r="E26" i="4"/>
  <c r="E15" i="4"/>
  <c r="F15" i="4"/>
  <c r="D83" i="1"/>
  <c r="E83" i="1" s="1"/>
  <c r="D82" i="1"/>
  <c r="E82" i="1" s="1"/>
  <c r="D81" i="1"/>
  <c r="E81" i="1" s="1"/>
  <c r="D80" i="1"/>
  <c r="E80" i="1" s="1"/>
  <c r="D63" i="1"/>
  <c r="E63" i="1" s="1"/>
  <c r="D61" i="1"/>
  <c r="E61" i="1" s="1"/>
  <c r="D60" i="1"/>
  <c r="E60" i="1" s="1"/>
  <c r="D54" i="1"/>
  <c r="E54" i="1" s="1"/>
  <c r="D49" i="1"/>
  <c r="D48" i="1"/>
  <c r="E48" i="1" s="1"/>
  <c r="D47" i="1"/>
  <c r="E47" i="1" s="1"/>
  <c r="D46" i="1"/>
  <c r="E46" i="1" s="1"/>
  <c r="D41" i="1"/>
  <c r="E41" i="1" s="1"/>
  <c r="D36" i="1"/>
  <c r="D35" i="1"/>
  <c r="D28" i="1"/>
  <c r="E28" i="1" s="1"/>
  <c r="D29" i="1"/>
  <c r="D30" i="1"/>
  <c r="D27" i="1"/>
  <c r="E27" i="1" s="1"/>
  <c r="C55" i="1"/>
  <c r="E29" i="1" l="1"/>
  <c r="C49" i="1"/>
  <c r="E55" i="1"/>
  <c r="E30" i="1"/>
  <c r="F7" i="4"/>
  <c r="F18" i="4"/>
  <c r="E23" i="4"/>
  <c r="F23" i="4" s="1"/>
  <c r="E22" i="4"/>
  <c r="F22" i="4" s="1"/>
  <c r="E21" i="4"/>
  <c r="F21" i="4" s="1"/>
  <c r="E20" i="4"/>
  <c r="F20" i="4" s="1"/>
  <c r="E18" i="4"/>
  <c r="E17" i="4"/>
  <c r="F17" i="4" s="1"/>
  <c r="E14" i="4"/>
  <c r="F14" i="4" s="1"/>
  <c r="E13" i="4"/>
  <c r="F13" i="4" s="1"/>
  <c r="E12" i="4"/>
  <c r="F12" i="4" s="1"/>
  <c r="E11" i="4"/>
  <c r="F11" i="4" s="1"/>
  <c r="E10" i="4"/>
  <c r="F10" i="4" s="1"/>
  <c r="E8" i="4"/>
  <c r="F8" i="4" s="1"/>
  <c r="E7" i="4"/>
  <c r="E6" i="4"/>
  <c r="F6" i="4" s="1"/>
  <c r="E5" i="4"/>
  <c r="F5" i="4" s="1"/>
  <c r="E4" i="4"/>
  <c r="F4" i="4" s="1"/>
  <c r="D74" i="1" l="1"/>
  <c r="E74" i="1" s="1"/>
  <c r="D72" i="1" l="1"/>
  <c r="E72" i="1" s="1"/>
  <c r="C22" i="1"/>
  <c r="C20" i="1"/>
  <c r="D73" i="1"/>
  <c r="E73" i="1" s="1"/>
  <c r="D75" i="1"/>
  <c r="E75" i="1" s="1"/>
  <c r="D68" i="1"/>
  <c r="D69" i="1"/>
  <c r="D70" i="1"/>
  <c r="D71" i="1"/>
  <c r="E71" i="1" s="1"/>
  <c r="D84" i="1"/>
  <c r="D11" i="1" s="1"/>
  <c r="D64" i="1"/>
  <c r="D9" i="1" s="1"/>
  <c r="D56" i="1"/>
  <c r="D50" i="1"/>
  <c r="D42" i="1"/>
  <c r="D37" i="1"/>
  <c r="D5" i="1" s="1"/>
  <c r="D31" i="1"/>
  <c r="D18" i="1"/>
  <c r="E18" i="1" s="1"/>
  <c r="D19" i="1"/>
  <c r="E19" i="1" s="1"/>
  <c r="D20" i="1"/>
  <c r="D21" i="1"/>
  <c r="E21" i="1" s="1"/>
  <c r="D22" i="1"/>
  <c r="D17" i="1"/>
  <c r="E17" i="1" s="1"/>
  <c r="I5" i="3"/>
  <c r="H6" i="3"/>
  <c r="H7" i="3"/>
  <c r="H8" i="3"/>
  <c r="H9" i="3"/>
  <c r="H5" i="3"/>
  <c r="G15" i="3"/>
  <c r="G16" i="3"/>
  <c r="G17" i="3"/>
  <c r="G18" i="3"/>
  <c r="G19" i="3"/>
  <c r="G20" i="3"/>
  <c r="G21" i="3"/>
  <c r="G22" i="3"/>
  <c r="G23" i="3"/>
  <c r="G24" i="3"/>
  <c r="G25" i="3"/>
  <c r="G26" i="3"/>
  <c r="F4" i="3"/>
  <c r="G4" i="3" s="1"/>
  <c r="F5" i="3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F16" i="3"/>
  <c r="F17" i="3"/>
  <c r="F18" i="3"/>
  <c r="F19" i="3"/>
  <c r="F20" i="3"/>
  <c r="F21" i="3"/>
  <c r="F22" i="3"/>
  <c r="F23" i="3"/>
  <c r="F24" i="3"/>
  <c r="F25" i="3"/>
  <c r="F26" i="3"/>
  <c r="F3" i="3"/>
  <c r="G3" i="3" s="1"/>
  <c r="H30" i="2"/>
  <c r="C16" i="2"/>
  <c r="D16" i="2" s="1"/>
  <c r="C10" i="2"/>
  <c r="C15" i="2"/>
  <c r="D15" i="2" s="1"/>
  <c r="D14" i="2"/>
  <c r="C13" i="2"/>
  <c r="D13" i="2" s="1"/>
  <c r="D12" i="2"/>
  <c r="D11" i="2"/>
  <c r="D10" i="2"/>
  <c r="D9" i="2"/>
  <c r="C9" i="2"/>
  <c r="C8" i="2"/>
  <c r="D8" i="2" s="1"/>
  <c r="C7" i="2"/>
  <c r="D7" i="2" s="1"/>
  <c r="C6" i="2"/>
  <c r="D6" i="2" s="1"/>
  <c r="C56" i="1"/>
  <c r="C84" i="1"/>
  <c r="C64" i="1"/>
  <c r="C42" i="1"/>
  <c r="C36" i="1"/>
  <c r="E36" i="1" s="1"/>
  <c r="C35" i="1"/>
  <c r="E35" i="1" s="1"/>
  <c r="C31" i="1"/>
  <c r="C4" i="1" l="1"/>
  <c r="E31" i="1"/>
  <c r="E4" i="1" s="1"/>
  <c r="C6" i="1"/>
  <c r="E42" i="1"/>
  <c r="E6" i="1" s="1"/>
  <c r="C8" i="1"/>
  <c r="E56" i="1"/>
  <c r="C9" i="1"/>
  <c r="E64" i="1"/>
  <c r="E9" i="1" s="1"/>
  <c r="C11" i="1"/>
  <c r="E84" i="1"/>
  <c r="E11" i="1" s="1"/>
  <c r="C50" i="1"/>
  <c r="E49" i="1"/>
  <c r="E69" i="1"/>
  <c r="E68" i="1"/>
  <c r="E8" i="1"/>
  <c r="C37" i="1"/>
  <c r="E70" i="1"/>
  <c r="C23" i="1"/>
  <c r="C3" i="1" s="1"/>
  <c r="E22" i="1"/>
  <c r="D7" i="1"/>
  <c r="D6" i="1"/>
  <c r="E20" i="1"/>
  <c r="C76" i="1"/>
  <c r="D4" i="1"/>
  <c r="D8" i="1"/>
  <c r="D76" i="1"/>
  <c r="D10" i="1" s="1"/>
  <c r="D23" i="1"/>
  <c r="D3" i="1" s="1"/>
  <c r="C22" i="2"/>
  <c r="D22" i="2"/>
  <c r="C7" i="1" l="1"/>
  <c r="E50" i="1"/>
  <c r="E7" i="1" s="1"/>
  <c r="C5" i="1"/>
  <c r="E37" i="1"/>
  <c r="E5" i="1" s="1"/>
  <c r="C10" i="1"/>
  <c r="E76" i="1"/>
  <c r="E10" i="1" s="1"/>
  <c r="E23" i="1"/>
  <c r="E3" i="1" s="1"/>
  <c r="D13" i="1"/>
  <c r="I10" i="2"/>
  <c r="I12" i="2" s="1"/>
  <c r="H10" i="2"/>
  <c r="H12" i="2" s="1"/>
  <c r="C13" i="1" l="1"/>
  <c r="E13" i="1"/>
</calcChain>
</file>

<file path=xl/sharedStrings.xml><?xml version="1.0" encoding="utf-8"?>
<sst xmlns="http://schemas.openxmlformats.org/spreadsheetml/2006/main" count="195" uniqueCount="157">
  <si>
    <t>Bismarckring 10</t>
  </si>
  <si>
    <t>Heizöl</t>
  </si>
  <si>
    <t>Küchen</t>
  </si>
  <si>
    <t>Notar- und Grundbucheintrag</t>
  </si>
  <si>
    <t>Grunderwerbssteuer</t>
  </si>
  <si>
    <t>Maklerkosten</t>
  </si>
  <si>
    <t>Zwischensumme</t>
  </si>
  <si>
    <t>Eingangstür</t>
  </si>
  <si>
    <t>Kellertür</t>
  </si>
  <si>
    <t>Terassentür</t>
  </si>
  <si>
    <t>Fenster Anbau</t>
  </si>
  <si>
    <t>Erdgeschoss</t>
  </si>
  <si>
    <t>Obergeschoss</t>
  </si>
  <si>
    <t>6 Stück</t>
  </si>
  <si>
    <t>5 Stück</t>
  </si>
  <si>
    <t>Gäste-WC</t>
  </si>
  <si>
    <t>Heizungsanlage</t>
  </si>
  <si>
    <t>inkl. Wärmepumpe</t>
  </si>
  <si>
    <t>inkl. Fußbodenheizung</t>
  </si>
  <si>
    <t>- Förderung Bundesamt</t>
  </si>
  <si>
    <t>Dröscher</t>
  </si>
  <si>
    <t>Photovoltaik-Anlage</t>
  </si>
  <si>
    <t>Allgemein</t>
  </si>
  <si>
    <t>Außentüren</t>
  </si>
  <si>
    <t>Innentüren</t>
  </si>
  <si>
    <t>Bäder</t>
  </si>
  <si>
    <t>Heizung</t>
  </si>
  <si>
    <t>PV-Anlage</t>
  </si>
  <si>
    <t>Beleuchtung</t>
  </si>
  <si>
    <t>Möbel</t>
  </si>
  <si>
    <t>Küche</t>
  </si>
  <si>
    <t>U. Kempa</t>
  </si>
  <si>
    <t>Interieur / Küche</t>
  </si>
  <si>
    <t>Estrich</t>
  </si>
  <si>
    <t>140qm</t>
  </si>
  <si>
    <t>Bodenbelag</t>
  </si>
  <si>
    <t>Bauschuttentsorgung</t>
  </si>
  <si>
    <t>Wohnraumerweiterung</t>
  </si>
  <si>
    <t>sonst. Bauliche Maßn.</t>
  </si>
  <si>
    <t>Sockelleisten</t>
  </si>
  <si>
    <t>Puffer</t>
  </si>
  <si>
    <t>Terassenherrichtung</t>
  </si>
  <si>
    <t>Terassenüberdachung</t>
  </si>
  <si>
    <t>Kelleraufgang</t>
  </si>
  <si>
    <t>Pflasterarbeiten</t>
  </si>
  <si>
    <t>Außenanlage</t>
  </si>
  <si>
    <t>Werkzeug</t>
  </si>
  <si>
    <t>Nebenkostenaufstellung</t>
  </si>
  <si>
    <t>Strom Alltag</t>
  </si>
  <si>
    <t>Strom WP</t>
  </si>
  <si>
    <t>Wasser</t>
  </si>
  <si>
    <t>Abwasser</t>
  </si>
  <si>
    <t>Internet</t>
  </si>
  <si>
    <t>Wohngebäude</t>
  </si>
  <si>
    <t>Hausrat</t>
  </si>
  <si>
    <t>Risikoleben</t>
  </si>
  <si>
    <t>Grundsteuer</t>
  </si>
  <si>
    <t>Abfallgebühren</t>
  </si>
  <si>
    <t>Abtrag</t>
  </si>
  <si>
    <t>250 tEUR</t>
  </si>
  <si>
    <t>290 tEUR</t>
  </si>
  <si>
    <t>Nebenkosten</t>
  </si>
  <si>
    <t>Einsparung PV</t>
  </si>
  <si>
    <t>SUMME</t>
  </si>
  <si>
    <t>GEZ</t>
  </si>
  <si>
    <t>Dach</t>
  </si>
  <si>
    <t>Miete</t>
  </si>
  <si>
    <t>Tilgung</t>
  </si>
  <si>
    <t>Tilgung KfW</t>
  </si>
  <si>
    <t>Bausparen</t>
  </si>
  <si>
    <t>Tilgung Gesamt</t>
  </si>
  <si>
    <t>Belastung Gesamt</t>
  </si>
  <si>
    <t>Plan</t>
  </si>
  <si>
    <t>Ist</t>
  </si>
  <si>
    <t>Offen</t>
  </si>
  <si>
    <t>Sturz Wohnzimmer</t>
  </si>
  <si>
    <t>UP-Schalterdose</t>
  </si>
  <si>
    <t>tief</t>
  </si>
  <si>
    <t>flach</t>
  </si>
  <si>
    <t>QGCSCHDUPF</t>
  </si>
  <si>
    <t>QGCSCHDUPT</t>
  </si>
  <si>
    <t>Artikel</t>
  </si>
  <si>
    <t>Infos</t>
  </si>
  <si>
    <t>Art.-Nr.</t>
  </si>
  <si>
    <t>VPE</t>
  </si>
  <si>
    <t>Preis</t>
  </si>
  <si>
    <t>Hohlwanddose</t>
  </si>
  <si>
    <t>QGCHWDT</t>
  </si>
  <si>
    <t>winddicht, tief</t>
  </si>
  <si>
    <t>QGCHWDWDT</t>
  </si>
  <si>
    <t>Nagelscheibe</t>
  </si>
  <si>
    <t>3x40mm</t>
  </si>
  <si>
    <t>QNSCH340G</t>
  </si>
  <si>
    <t>NYM-J 3x1,5mm²</t>
  </si>
  <si>
    <t>100m</t>
  </si>
  <si>
    <t>QNYM3R</t>
  </si>
  <si>
    <t>50m</t>
  </si>
  <si>
    <t>QNYM3R5</t>
  </si>
  <si>
    <t>NYM-J 3x2,5mm²</t>
  </si>
  <si>
    <t>QNYM3025R5</t>
  </si>
  <si>
    <t>NYM-J 5x2,5mm²</t>
  </si>
  <si>
    <t>QNYM5025R5</t>
  </si>
  <si>
    <t>NYM-J 5x6,0mm²</t>
  </si>
  <si>
    <t>QNYM506R5</t>
  </si>
  <si>
    <t>Datenkabel Cat.7</t>
  </si>
  <si>
    <t>Simplex</t>
  </si>
  <si>
    <t>Q7KS70091R</t>
  </si>
  <si>
    <t>Duplex</t>
  </si>
  <si>
    <t>Q7KS70092R</t>
  </si>
  <si>
    <t>Kunststoff-Wellrohr</t>
  </si>
  <si>
    <t>16mm</t>
  </si>
  <si>
    <t>QFLEXBYF16</t>
  </si>
  <si>
    <t>20mm</t>
  </si>
  <si>
    <t>25mm</t>
  </si>
  <si>
    <t>32mm</t>
  </si>
  <si>
    <t>QFLEXBYF20</t>
  </si>
  <si>
    <t>QFLEXBYF25</t>
  </si>
  <si>
    <t>QFLEXBYF32</t>
  </si>
  <si>
    <t>Preis / VPE</t>
  </si>
  <si>
    <t>Wiederhold</t>
  </si>
  <si>
    <t>NYM-J 5x16,0mm²</t>
  </si>
  <si>
    <t>QNYM516R5</t>
  </si>
  <si>
    <t>Nagelschellen</t>
  </si>
  <si>
    <t>7-12/25mm</t>
  </si>
  <si>
    <t>QNS725G</t>
  </si>
  <si>
    <t>7-12/35mm</t>
  </si>
  <si>
    <t>QNS7G</t>
  </si>
  <si>
    <t>300 Meter</t>
  </si>
  <si>
    <t>50 Meter</t>
  </si>
  <si>
    <t>20 Meter</t>
  </si>
  <si>
    <t>3 Meter</t>
  </si>
  <si>
    <t>Verteilereinbaudose</t>
  </si>
  <si>
    <t>grau</t>
  </si>
  <si>
    <t>QGCHUTSTECK</t>
  </si>
  <si>
    <t>WAGO-Klemmen 221</t>
  </si>
  <si>
    <t>3L</t>
  </si>
  <si>
    <t>2L</t>
  </si>
  <si>
    <t>5L</t>
  </si>
  <si>
    <t>Q221412WA</t>
  </si>
  <si>
    <t>Q221413WA</t>
  </si>
  <si>
    <t>Q221415WA</t>
  </si>
  <si>
    <t>WAGO-Klemmen 2273</t>
  </si>
  <si>
    <t>4L</t>
  </si>
  <si>
    <t>8L</t>
  </si>
  <si>
    <t>Q22730202WA</t>
  </si>
  <si>
    <t>Q22730203WA</t>
  </si>
  <si>
    <t>Q22730204WA</t>
  </si>
  <si>
    <t>Q22730205WA</t>
  </si>
  <si>
    <t>Q22730208WA</t>
  </si>
  <si>
    <t>Verbindungsdose</t>
  </si>
  <si>
    <t>QADUP7036K</t>
  </si>
  <si>
    <t>Federdeckel</t>
  </si>
  <si>
    <t>70/36 mm</t>
  </si>
  <si>
    <t>85mm</t>
  </si>
  <si>
    <t>QFD85K</t>
  </si>
  <si>
    <t>Sofa</t>
  </si>
  <si>
    <t>Bischoff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</si>
</sst>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mmmm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10" fontId="0" fillId="0" borderId="0" xfId="2" applyNumberFormat="1" applyFont="1"/>
    <xf numFmtId="44" fontId="0" fillId="0" borderId="0" xfId="0" applyNumberFormat="1"/>
    <xf numFmtId="0" fontId="2" fillId="0" borderId="1" xfId="0" applyFont="1" applyBorder="1"/>
    <xf numFmtId="44" fontId="2" fillId="0" borderId="1" xfId="0" applyNumberFormat="1" applyFont="1" applyBorder="1"/>
    <xf numFmtId="0" fontId="0" fillId="0" borderId="0" xfId="0" quotePrefix="1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44" fontId="0" fillId="0" borderId="6" xfId="0" applyNumberFormat="1" applyBorder="1"/>
    <xf numFmtId="44" fontId="0" fillId="0" borderId="6" xfId="1" applyFont="1" applyBorder="1"/>
    <xf numFmtId="0" fontId="2" fillId="0" borderId="7" xfId="0" applyFont="1" applyBorder="1"/>
    <xf numFmtId="44" fontId="2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3" applyNumberFormat="1" applyFont="1"/>
    <xf numFmtId="0" fontId="0" fillId="0" borderId="12" xfId="0" applyBorder="1"/>
    <xf numFmtId="165" fontId="0" fillId="0" borderId="0" xfId="0" applyNumberFormat="1" applyAlignment="1">
      <alignment horizontal="left"/>
    </xf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4">
    <cellStyle name="Komma" xfId="3" builtinId="3"/>
    <cellStyle name="Prozent" xfId="2" builtinId="5"/>
    <cellStyle name="Standard" xfId="0" builtinId="0"/>
    <cellStyle name="Währung" xfId="1" builtinId="4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tabSelected="1" workbookViewId="0">
      <pane xSplit="5" ySplit="16" topLeftCell="F17" activePane="bottomRight" state="frozen"/>
      <selection pane="topRight" activeCell="F1" sqref="F1"/>
      <selection pane="bottomLeft" activeCell="A17" sqref="A17"/>
      <selection pane="bottomRight" activeCell="A27" sqref="A27"/>
    </sheetView>
  </sheetViews>
  <sheetFormatPr baseColWidth="10" defaultColWidth="10.6640625" defaultRowHeight="14.4" x14ac:dyDescent="0.3"/>
  <cols>
    <col min="1" max="1" width="27.44140625" bestFit="1" customWidth="1"/>
    <col min="2" max="2" width="13" bestFit="1" customWidth="1"/>
    <col min="3" max="3" width="13.44140625" bestFit="1" customWidth="1"/>
    <col min="4" max="5" width="12.88671875" bestFit="1" customWidth="1"/>
    <col min="9" max="9" width="10.77734375" bestFit="1" customWidth="1"/>
    <col min="10" max="10" width="12.77734375" bestFit="1" customWidth="1"/>
  </cols>
  <sheetData>
    <row r="1" spans="1:18" ht="15" thickBot="1" x14ac:dyDescent="0.35"/>
    <row r="2" spans="1:18" x14ac:dyDescent="0.3">
      <c r="A2" s="8"/>
      <c r="B2" s="9"/>
      <c r="C2" s="10"/>
    </row>
    <row r="3" spans="1:18" x14ac:dyDescent="0.3">
      <c r="A3" s="11" t="s">
        <v>22</v>
      </c>
      <c r="B3" s="12"/>
      <c r="C3" s="13">
        <f>C23</f>
        <v>181365.5</v>
      </c>
      <c r="D3" s="13">
        <f>D23</f>
        <v>179064.62</v>
      </c>
      <c r="E3" s="13">
        <f>E23</f>
        <v>-2300.88</v>
      </c>
    </row>
    <row r="4" spans="1:18" x14ac:dyDescent="0.3">
      <c r="A4" s="11" t="s">
        <v>23</v>
      </c>
      <c r="B4" s="12"/>
      <c r="C4" s="13">
        <f>C31</f>
        <v>14081.259999999998</v>
      </c>
      <c r="D4" s="13">
        <f>D31</f>
        <v>9447.16</v>
      </c>
      <c r="E4" s="13">
        <f>E31</f>
        <v>4634.0999999999985</v>
      </c>
    </row>
    <row r="5" spans="1:18" x14ac:dyDescent="0.3">
      <c r="A5" s="11" t="s">
        <v>24</v>
      </c>
      <c r="B5" s="12"/>
      <c r="C5" s="13">
        <f>C37</f>
        <v>2750</v>
      </c>
      <c r="D5" s="13">
        <f>D37</f>
        <v>0</v>
      </c>
      <c r="E5" s="13">
        <f>E37</f>
        <v>2750</v>
      </c>
    </row>
    <row r="6" spans="1:18" x14ac:dyDescent="0.3">
      <c r="A6" s="11" t="s">
        <v>25</v>
      </c>
      <c r="B6" s="12"/>
      <c r="C6" s="13">
        <f>C42</f>
        <v>5000</v>
      </c>
      <c r="D6" s="13">
        <f>D42</f>
        <v>0</v>
      </c>
      <c r="E6" s="13">
        <f>E42</f>
        <v>5000</v>
      </c>
    </row>
    <row r="7" spans="1:18" x14ac:dyDescent="0.3">
      <c r="A7" s="11" t="s">
        <v>26</v>
      </c>
      <c r="B7" s="12"/>
      <c r="C7" s="13">
        <f>C50</f>
        <v>22826.200999999997</v>
      </c>
      <c r="D7" s="13">
        <f>D50</f>
        <v>10000</v>
      </c>
      <c r="E7" s="13">
        <f>E50</f>
        <v>12826.200999999997</v>
      </c>
    </row>
    <row r="8" spans="1:18" x14ac:dyDescent="0.3">
      <c r="A8" s="11" t="s">
        <v>27</v>
      </c>
      <c r="B8" s="12"/>
      <c r="C8" s="13">
        <f>C56</f>
        <v>46988.630000000005</v>
      </c>
      <c r="D8" s="13">
        <f>D56</f>
        <v>19706.879999999997</v>
      </c>
      <c r="E8" s="13">
        <f>E56</f>
        <v>27281.750000000007</v>
      </c>
    </row>
    <row r="9" spans="1:18" x14ac:dyDescent="0.3">
      <c r="A9" s="11" t="s">
        <v>32</v>
      </c>
      <c r="B9" s="12"/>
      <c r="C9" s="13">
        <f>C64</f>
        <v>27550</v>
      </c>
      <c r="D9" s="13">
        <f>D64</f>
        <v>0</v>
      </c>
      <c r="E9" s="13">
        <f>E64</f>
        <v>27550</v>
      </c>
    </row>
    <row r="10" spans="1:18" x14ac:dyDescent="0.3">
      <c r="A10" s="11" t="s">
        <v>38</v>
      </c>
      <c r="B10" s="12"/>
      <c r="C10" s="13">
        <f>C76</f>
        <v>33261.100000000006</v>
      </c>
      <c r="D10" s="13">
        <f>D76</f>
        <v>24379.809999999998</v>
      </c>
      <c r="E10" s="13">
        <f>E76</f>
        <v>8881.2900000000081</v>
      </c>
    </row>
    <row r="11" spans="1:18" x14ac:dyDescent="0.3">
      <c r="A11" s="11" t="s">
        <v>45</v>
      </c>
      <c r="B11" s="12"/>
      <c r="C11" s="13">
        <f>C84</f>
        <v>4950</v>
      </c>
      <c r="D11" s="13">
        <f>D84</f>
        <v>275.5</v>
      </c>
      <c r="E11" s="13">
        <f>E84</f>
        <v>4674.5</v>
      </c>
    </row>
    <row r="12" spans="1:18" x14ac:dyDescent="0.3">
      <c r="A12" s="11" t="s">
        <v>40</v>
      </c>
      <c r="B12" s="12"/>
      <c r="C12" s="14">
        <v>10000</v>
      </c>
      <c r="D12" s="14">
        <v>0</v>
      </c>
      <c r="E12" s="14">
        <f>C12-D12</f>
        <v>10000</v>
      </c>
    </row>
    <row r="13" spans="1:18" ht="15" thickBot="1" x14ac:dyDescent="0.35">
      <c r="A13" s="15" t="s">
        <v>6</v>
      </c>
      <c r="B13" s="4"/>
      <c r="C13" s="16">
        <f>SUM(C3:C12)</f>
        <v>348772.69099999999</v>
      </c>
      <c r="D13" s="16">
        <f>SUM(D3:D12)</f>
        <v>242873.97</v>
      </c>
      <c r="E13" s="16">
        <f>SUM(E3:E12)</f>
        <v>101296.96100000001</v>
      </c>
    </row>
    <row r="14" spans="1:18" ht="15.6" thickTop="1" thickBot="1" x14ac:dyDescent="0.35">
      <c r="A14" s="17"/>
      <c r="B14" s="18"/>
      <c r="C14" s="19"/>
    </row>
    <row r="16" spans="1:18" x14ac:dyDescent="0.3">
      <c r="C16" s="23" t="s">
        <v>72</v>
      </c>
      <c r="D16" s="23" t="s">
        <v>73</v>
      </c>
      <c r="E16" s="23" t="s">
        <v>74</v>
      </c>
      <c r="H16" s="24"/>
      <c r="I16" s="24"/>
      <c r="J16" s="24"/>
      <c r="K16" s="24"/>
      <c r="L16" s="24"/>
      <c r="M16" s="24"/>
      <c r="O16" s="25"/>
      <c r="P16" s="25"/>
      <c r="Q16" s="25"/>
      <c r="R16" s="25"/>
    </row>
    <row r="17" spans="1:14" x14ac:dyDescent="0.3">
      <c r="A17" s="23" t="s">
        <v>0</v>
      </c>
      <c r="C17" s="1">
        <v>160000</v>
      </c>
      <c r="D17" s="3">
        <f t="shared" ref="D17:D22" si="0">SUM(H17:XFD17)</f>
        <v>160000</v>
      </c>
      <c r="E17" s="3">
        <f t="shared" ref="E17:E22" si="1">D17-C17</f>
        <v>0</v>
      </c>
      <c r="H17" s="1"/>
      <c r="I17" s="1"/>
      <c r="J17" s="1">
        <v>160000</v>
      </c>
    </row>
    <row r="18" spans="1:14" x14ac:dyDescent="0.3">
      <c r="A18" s="23" t="s">
        <v>1</v>
      </c>
      <c r="C18" s="1">
        <v>2000</v>
      </c>
      <c r="D18" s="3">
        <f t="shared" si="0"/>
        <v>-1000</v>
      </c>
      <c r="E18" s="3">
        <f t="shared" si="1"/>
        <v>-3000</v>
      </c>
      <c r="H18" s="1"/>
      <c r="I18" s="1"/>
      <c r="J18" s="1">
        <v>2000</v>
      </c>
      <c r="L18">
        <v>-1500</v>
      </c>
      <c r="M18">
        <v>-1500</v>
      </c>
    </row>
    <row r="19" spans="1:14" x14ac:dyDescent="0.3">
      <c r="A19" s="23" t="s">
        <v>2</v>
      </c>
      <c r="C19" s="1">
        <v>3000</v>
      </c>
      <c r="D19" s="3">
        <f t="shared" si="0"/>
        <v>3000</v>
      </c>
      <c r="E19" s="3">
        <f t="shared" si="1"/>
        <v>0</v>
      </c>
      <c r="H19" s="1"/>
      <c r="I19" s="1"/>
      <c r="J19" s="1">
        <v>3000</v>
      </c>
    </row>
    <row r="20" spans="1:14" x14ac:dyDescent="0.3">
      <c r="A20" s="23" t="s">
        <v>3</v>
      </c>
      <c r="B20" s="2">
        <v>1.4999999999999999E-2</v>
      </c>
      <c r="C20" s="1">
        <f>165000*0.015</f>
        <v>2475</v>
      </c>
      <c r="D20" s="3">
        <f t="shared" si="0"/>
        <v>3174.12</v>
      </c>
      <c r="E20" s="3">
        <f t="shared" si="1"/>
        <v>699.11999999999989</v>
      </c>
      <c r="H20" s="1">
        <v>1730.92</v>
      </c>
      <c r="I20" s="1">
        <v>785.5</v>
      </c>
      <c r="J20" s="1"/>
      <c r="M20">
        <v>246.7</v>
      </c>
      <c r="N20">
        <v>411</v>
      </c>
    </row>
    <row r="21" spans="1:14" x14ac:dyDescent="0.3">
      <c r="A21" s="23" t="s">
        <v>4</v>
      </c>
      <c r="B21" s="2">
        <v>0.05</v>
      </c>
      <c r="C21" s="1">
        <v>8000</v>
      </c>
      <c r="D21" s="3">
        <f t="shared" si="0"/>
        <v>8000</v>
      </c>
      <c r="E21" s="3">
        <f t="shared" si="1"/>
        <v>0</v>
      </c>
      <c r="H21" s="1"/>
      <c r="I21" s="1"/>
      <c r="J21" s="1"/>
      <c r="K21" s="1">
        <v>8000</v>
      </c>
    </row>
    <row r="22" spans="1:14" x14ac:dyDescent="0.3">
      <c r="A22" s="23" t="s">
        <v>5</v>
      </c>
      <c r="B22" s="2">
        <v>3.5700000000000003E-2</v>
      </c>
      <c r="C22" s="1">
        <f>165000*0.0357</f>
        <v>5890.5</v>
      </c>
      <c r="D22" s="3">
        <f t="shared" si="0"/>
        <v>5890.5</v>
      </c>
      <c r="E22" s="3">
        <f t="shared" si="1"/>
        <v>0</v>
      </c>
      <c r="H22" s="1">
        <v>5890.5</v>
      </c>
      <c r="I22" s="1"/>
      <c r="J22" s="1"/>
    </row>
    <row r="23" spans="1:14" ht="15" thickBot="1" x14ac:dyDescent="0.35">
      <c r="A23" s="4" t="s">
        <v>6</v>
      </c>
      <c r="B23" s="4"/>
      <c r="C23" s="5">
        <f>SUM(C17:C22)</f>
        <v>181365.5</v>
      </c>
      <c r="D23" s="5">
        <f>SUM(D17:D22)</f>
        <v>179064.62</v>
      </c>
      <c r="E23" s="5">
        <f>SUM(E17:E22)</f>
        <v>-2300.88</v>
      </c>
    </row>
    <row r="24" spans="1:14" ht="15" thickTop="1" x14ac:dyDescent="0.3"/>
    <row r="27" spans="1:14" x14ac:dyDescent="0.3">
      <c r="A27" s="23" t="s">
        <v>7</v>
      </c>
      <c r="C27" s="1">
        <v>9447.16</v>
      </c>
      <c r="D27" s="1">
        <f>SUM(F27:XFD27)</f>
        <v>9447.16</v>
      </c>
      <c r="E27" s="1">
        <f>C27-D27</f>
        <v>0</v>
      </c>
      <c r="H27">
        <v>9447.16</v>
      </c>
    </row>
    <row r="28" spans="1:14" x14ac:dyDescent="0.3">
      <c r="A28" t="s">
        <v>8</v>
      </c>
      <c r="C28" s="1">
        <v>1076</v>
      </c>
      <c r="D28" s="1">
        <f t="shared" ref="D28:D30" si="2">SUM(F28:XFD28)</f>
        <v>0</v>
      </c>
      <c r="E28" s="1">
        <f t="shared" ref="E28:E30" si="3">C28-D28</f>
        <v>1076</v>
      </c>
    </row>
    <row r="29" spans="1:14" x14ac:dyDescent="0.3">
      <c r="A29" t="s">
        <v>9</v>
      </c>
      <c r="C29" s="1">
        <f>1498*1.19</f>
        <v>1782.62</v>
      </c>
      <c r="D29" s="1">
        <f t="shared" si="2"/>
        <v>0</v>
      </c>
      <c r="E29" s="1">
        <f t="shared" si="3"/>
        <v>1782.62</v>
      </c>
    </row>
    <row r="30" spans="1:14" x14ac:dyDescent="0.3">
      <c r="A30" t="s">
        <v>10</v>
      </c>
      <c r="C30" s="1">
        <f>1492*1.19</f>
        <v>1775.48</v>
      </c>
      <c r="D30" s="1">
        <f t="shared" si="2"/>
        <v>0</v>
      </c>
      <c r="E30" s="1">
        <f t="shared" si="3"/>
        <v>1775.48</v>
      </c>
    </row>
    <row r="31" spans="1:14" ht="15" thickBot="1" x14ac:dyDescent="0.35">
      <c r="A31" s="4" t="s">
        <v>6</v>
      </c>
      <c r="B31" s="4"/>
      <c r="C31" s="5">
        <f>SUM(C27:C30)</f>
        <v>14081.259999999998</v>
      </c>
      <c r="D31" s="5">
        <f>SUM(D27:D30)</f>
        <v>9447.16</v>
      </c>
      <c r="E31" s="5">
        <f>C31-D31</f>
        <v>4634.0999999999985</v>
      </c>
    </row>
    <row r="32" spans="1:14" ht="15" thickTop="1" x14ac:dyDescent="0.3"/>
    <row r="35" spans="1:9" x14ac:dyDescent="0.3">
      <c r="A35" t="s">
        <v>11</v>
      </c>
      <c r="B35" t="s">
        <v>13</v>
      </c>
      <c r="C35" s="1">
        <f>6*250</f>
        <v>1500</v>
      </c>
      <c r="D35" s="1">
        <f>SUM(F35:XFD35)</f>
        <v>0</v>
      </c>
      <c r="E35" s="3">
        <f>C35-D35</f>
        <v>1500</v>
      </c>
    </row>
    <row r="36" spans="1:9" x14ac:dyDescent="0.3">
      <c r="A36" t="s">
        <v>12</v>
      </c>
      <c r="B36" t="s">
        <v>14</v>
      </c>
      <c r="C36" s="1">
        <f>5*250</f>
        <v>1250</v>
      </c>
      <c r="D36" s="1">
        <f>SUM(F36:XFD36)</f>
        <v>0</v>
      </c>
      <c r="E36" s="3">
        <f>C36-D36</f>
        <v>1250</v>
      </c>
    </row>
    <row r="37" spans="1:9" ht="15" thickBot="1" x14ac:dyDescent="0.35">
      <c r="A37" s="4" t="s">
        <v>6</v>
      </c>
      <c r="B37" s="4"/>
      <c r="C37" s="5">
        <f>SUM(C35:C36)</f>
        <v>2750</v>
      </c>
      <c r="D37" s="5">
        <f>SUM(D35:D36)</f>
        <v>0</v>
      </c>
      <c r="E37" s="5">
        <f>C37-D37</f>
        <v>2750</v>
      </c>
    </row>
    <row r="38" spans="1:9" ht="15" thickTop="1" x14ac:dyDescent="0.3"/>
    <row r="41" spans="1:9" x14ac:dyDescent="0.3">
      <c r="A41" t="s">
        <v>15</v>
      </c>
      <c r="B41" t="s">
        <v>20</v>
      </c>
      <c r="C41" s="1">
        <v>5000</v>
      </c>
      <c r="D41" s="1">
        <f>SUM(F41:XFD41)</f>
        <v>0</v>
      </c>
      <c r="E41" s="3">
        <f>C41-D41</f>
        <v>5000</v>
      </c>
    </row>
    <row r="42" spans="1:9" ht="15" thickBot="1" x14ac:dyDescent="0.35">
      <c r="A42" s="4" t="s">
        <v>6</v>
      </c>
      <c r="B42" s="4"/>
      <c r="C42" s="5">
        <f>SUM(C41:C41)</f>
        <v>5000</v>
      </c>
      <c r="D42" s="5">
        <f>SUM(D41:D41)</f>
        <v>0</v>
      </c>
      <c r="E42" s="5">
        <f>C42-D42</f>
        <v>5000</v>
      </c>
    </row>
    <row r="43" spans="1:9" ht="15" thickTop="1" x14ac:dyDescent="0.3"/>
    <row r="46" spans="1:9" x14ac:dyDescent="0.3">
      <c r="A46" t="s">
        <v>16</v>
      </c>
      <c r="B46" t="s">
        <v>20</v>
      </c>
      <c r="C46" s="1">
        <v>50000</v>
      </c>
      <c r="D46" s="1">
        <f>SUM(F46:XFD46)</f>
        <v>10000</v>
      </c>
      <c r="E46" s="3">
        <f>C46-D46</f>
        <v>40000</v>
      </c>
      <c r="I46">
        <v>10000</v>
      </c>
    </row>
    <row r="47" spans="1:9" x14ac:dyDescent="0.3">
      <c r="A47" t="s">
        <v>17</v>
      </c>
      <c r="C47" s="1"/>
      <c r="D47" s="1">
        <f>SUM(F47:XFD47)</f>
        <v>0</v>
      </c>
      <c r="E47" s="3">
        <f>SUM(C47-D47)</f>
        <v>0</v>
      </c>
    </row>
    <row r="48" spans="1:9" x14ac:dyDescent="0.3">
      <c r="A48" t="s">
        <v>18</v>
      </c>
      <c r="C48" s="1"/>
      <c r="D48" s="1">
        <f>SUM(F48:XFD48)</f>
        <v>0</v>
      </c>
      <c r="E48" s="3">
        <f>C48-D48</f>
        <v>0</v>
      </c>
    </row>
    <row r="49" spans="1:10" x14ac:dyDescent="0.3">
      <c r="A49" s="6" t="s">
        <v>19</v>
      </c>
      <c r="B49" s="7">
        <v>0.45</v>
      </c>
      <c r="C49" s="1">
        <f>(C46+C68+C69+C70)*-B49</f>
        <v>-27173.799000000003</v>
      </c>
      <c r="D49" s="1">
        <f>SUM(F49:XFD49)</f>
        <v>0</v>
      </c>
      <c r="E49" s="3">
        <f>C49-D49</f>
        <v>-27173.799000000003</v>
      </c>
    </row>
    <row r="50" spans="1:10" ht="15" thickBot="1" x14ac:dyDescent="0.35">
      <c r="A50" s="4" t="s">
        <v>6</v>
      </c>
      <c r="B50" s="4"/>
      <c r="C50" s="5">
        <f>SUM(C46:C49)</f>
        <v>22826.200999999997</v>
      </c>
      <c r="D50" s="5">
        <f>SUM(D46:D49)</f>
        <v>10000</v>
      </c>
      <c r="E50" s="5">
        <f>C50-D50</f>
        <v>12826.200999999997</v>
      </c>
    </row>
    <row r="51" spans="1:10" ht="15" thickTop="1" x14ac:dyDescent="0.3"/>
    <row r="54" spans="1:10" x14ac:dyDescent="0.3">
      <c r="A54" t="s">
        <v>65</v>
      </c>
      <c r="C54" s="3">
        <v>25000</v>
      </c>
      <c r="D54" s="1">
        <f>SUM(F54:XFD54)</f>
        <v>8795.48</v>
      </c>
      <c r="E54" s="3">
        <f>C54-D54</f>
        <v>16204.52</v>
      </c>
      <c r="H54">
        <v>8795.48</v>
      </c>
    </row>
    <row r="55" spans="1:10" x14ac:dyDescent="0.3">
      <c r="A55" t="s">
        <v>21</v>
      </c>
      <c r="B55" t="s">
        <v>119</v>
      </c>
      <c r="C55" s="1">
        <f>21598.02+390.61</f>
        <v>21988.63</v>
      </c>
      <c r="D55" s="1">
        <f>SUM(F55:Z55)</f>
        <v>10911.4</v>
      </c>
      <c r="E55" s="3">
        <f>C55-D55</f>
        <v>11077.230000000001</v>
      </c>
      <c r="H55">
        <v>5075.3500000000004</v>
      </c>
      <c r="I55">
        <v>390.61</v>
      </c>
      <c r="J55">
        <v>5445.44</v>
      </c>
    </row>
    <row r="56" spans="1:10" ht="15" thickBot="1" x14ac:dyDescent="0.35">
      <c r="A56" s="4" t="s">
        <v>6</v>
      </c>
      <c r="B56" s="4"/>
      <c r="C56" s="5">
        <f>SUM(C54:C55)</f>
        <v>46988.630000000005</v>
      </c>
      <c r="D56" s="5">
        <f>SUM(D54:D55)</f>
        <v>19706.879999999997</v>
      </c>
      <c r="E56" s="5">
        <f>C56-D56</f>
        <v>27281.750000000007</v>
      </c>
    </row>
    <row r="57" spans="1:10" ht="15" thickTop="1" x14ac:dyDescent="0.3"/>
    <row r="60" spans="1:10" x14ac:dyDescent="0.3">
      <c r="A60" t="s">
        <v>28</v>
      </c>
      <c r="C60" s="1">
        <v>2500</v>
      </c>
      <c r="D60" s="1">
        <f>SUM(F60:XFD60)</f>
        <v>0</v>
      </c>
      <c r="E60" s="3">
        <f>C60-D60</f>
        <v>2500</v>
      </c>
    </row>
    <row r="61" spans="1:10" x14ac:dyDescent="0.3">
      <c r="A61" t="s">
        <v>29</v>
      </c>
      <c r="C61" s="1">
        <v>5500</v>
      </c>
      <c r="D61" s="1">
        <f>SUM(F61:XFD61)</f>
        <v>0</v>
      </c>
      <c r="E61" s="3">
        <f>C61-D61</f>
        <v>5500</v>
      </c>
    </row>
    <row r="62" spans="1:10" x14ac:dyDescent="0.3">
      <c r="A62" t="s">
        <v>155</v>
      </c>
      <c r="B62" t="s">
        <v>31</v>
      </c>
      <c r="C62" s="1">
        <v>2000</v>
      </c>
      <c r="D62" s="1">
        <f>SUM(F62:XFD62)</f>
        <v>0</v>
      </c>
      <c r="E62" s="3">
        <f>C62-D62</f>
        <v>2000</v>
      </c>
    </row>
    <row r="63" spans="1:10" x14ac:dyDescent="0.3">
      <c r="A63" t="s">
        <v>30</v>
      </c>
      <c r="B63" t="s">
        <v>31</v>
      </c>
      <c r="C63" s="1">
        <v>17550</v>
      </c>
      <c r="D63" s="1">
        <f>SUM(F63:XFD63)</f>
        <v>0</v>
      </c>
      <c r="E63" s="3">
        <f>C63-D63</f>
        <v>17550</v>
      </c>
    </row>
    <row r="64" spans="1:10" ht="15" thickBot="1" x14ac:dyDescent="0.35">
      <c r="A64" s="4" t="s">
        <v>6</v>
      </c>
      <c r="B64" s="4"/>
      <c r="C64" s="5">
        <f>SUM(C60:C63)</f>
        <v>27550</v>
      </c>
      <c r="D64" s="5">
        <f>SUM(D60:D63)</f>
        <v>0</v>
      </c>
      <c r="E64" s="5">
        <f>C64-D64</f>
        <v>27550</v>
      </c>
    </row>
    <row r="65" spans="1:14" ht="15" thickTop="1" x14ac:dyDescent="0.3"/>
    <row r="68" spans="1:14" x14ac:dyDescent="0.3">
      <c r="A68" s="23" t="s">
        <v>33</v>
      </c>
      <c r="C68" s="1">
        <f>3350*1.19</f>
        <v>3986.5</v>
      </c>
      <c r="D68" s="1">
        <f t="shared" ref="D68" si="4">SUM(H68:XFD68)</f>
        <v>4170.05</v>
      </c>
      <c r="E68" s="3">
        <f t="shared" ref="E68:E71" si="5">C68-D68</f>
        <v>-183.55000000000018</v>
      </c>
      <c r="H68">
        <v>4170.05</v>
      </c>
    </row>
    <row r="69" spans="1:14" x14ac:dyDescent="0.3">
      <c r="A69" t="s">
        <v>35</v>
      </c>
      <c r="B69" t="s">
        <v>34</v>
      </c>
      <c r="C69" s="1">
        <f>4899.72</f>
        <v>4899.72</v>
      </c>
      <c r="D69" s="1">
        <f t="shared" ref="D69:D70" si="6">SUM(H69:XFD69)</f>
        <v>0</v>
      </c>
      <c r="E69" s="3">
        <f t="shared" si="5"/>
        <v>4899.72</v>
      </c>
    </row>
    <row r="70" spans="1:14" x14ac:dyDescent="0.3">
      <c r="A70" t="s">
        <v>39</v>
      </c>
      <c r="C70" s="1">
        <f>1500</f>
        <v>1500</v>
      </c>
      <c r="D70" s="1">
        <f t="shared" si="6"/>
        <v>0</v>
      </c>
      <c r="E70" s="3">
        <f t="shared" si="5"/>
        <v>1500</v>
      </c>
    </row>
    <row r="71" spans="1:14" x14ac:dyDescent="0.3">
      <c r="A71" t="s">
        <v>156</v>
      </c>
      <c r="C71" s="1">
        <f>1225+680+225</f>
        <v>2130</v>
      </c>
      <c r="D71" s="1">
        <f>SUM(H71:XFD71)</f>
        <v>1414.8600000000001</v>
      </c>
      <c r="E71" s="3">
        <f t="shared" si="5"/>
        <v>715.13999999999987</v>
      </c>
      <c r="H71">
        <v>691.59</v>
      </c>
      <c r="I71">
        <v>357</v>
      </c>
      <c r="J71">
        <v>42.35</v>
      </c>
      <c r="K71">
        <v>80.17</v>
      </c>
      <c r="L71">
        <v>27.3</v>
      </c>
      <c r="M71">
        <v>49.98</v>
      </c>
      <c r="N71">
        <f>25.44+48.44+37.16+55.43</f>
        <v>166.47</v>
      </c>
    </row>
    <row r="72" spans="1:14" x14ac:dyDescent="0.3">
      <c r="A72" t="s">
        <v>46</v>
      </c>
      <c r="C72" s="1">
        <v>4000</v>
      </c>
      <c r="D72" s="1">
        <f>SUM(H72:XFD72)</f>
        <v>3045.3500000000004</v>
      </c>
      <c r="E72" s="3">
        <f>C72-D72</f>
        <v>954.64999999999964</v>
      </c>
      <c r="H72">
        <v>500</v>
      </c>
      <c r="I72">
        <v>2445.59</v>
      </c>
      <c r="J72">
        <v>19.78</v>
      </c>
      <c r="K72">
        <v>79.98</v>
      </c>
    </row>
    <row r="73" spans="1:14" x14ac:dyDescent="0.3">
      <c r="A73" s="28" t="s">
        <v>36</v>
      </c>
      <c r="C73" s="1">
        <v>1500</v>
      </c>
      <c r="D73" s="1">
        <f>SUM(H73:XFD73)</f>
        <v>3698.87</v>
      </c>
      <c r="E73" s="3">
        <f>C73-D73</f>
        <v>-2198.87</v>
      </c>
      <c r="H73">
        <v>291.04000000000002</v>
      </c>
      <c r="I73">
        <v>291.04000000000002</v>
      </c>
      <c r="J73">
        <v>837.25</v>
      </c>
      <c r="K73">
        <v>1280</v>
      </c>
      <c r="L73">
        <v>511.06</v>
      </c>
      <c r="M73">
        <v>488.48</v>
      </c>
    </row>
    <row r="74" spans="1:14" x14ac:dyDescent="0.3">
      <c r="A74" s="23" t="s">
        <v>75</v>
      </c>
      <c r="C74" s="1">
        <v>244.88</v>
      </c>
      <c r="D74" s="1">
        <f>SUM(H74:XFD74)</f>
        <v>244.88</v>
      </c>
      <c r="E74" s="3">
        <f>C74-D74</f>
        <v>0</v>
      </c>
      <c r="H74">
        <v>244.88</v>
      </c>
    </row>
    <row r="75" spans="1:14" x14ac:dyDescent="0.3">
      <c r="A75" t="s">
        <v>37</v>
      </c>
      <c r="C75" s="1">
        <v>15000</v>
      </c>
      <c r="D75" s="1">
        <f>SUM(H75:XFD75)</f>
        <v>11805.8</v>
      </c>
      <c r="E75" s="3">
        <f>C75-D75</f>
        <v>3194.2000000000007</v>
      </c>
      <c r="H75">
        <v>5500</v>
      </c>
      <c r="I75">
        <v>2000</v>
      </c>
      <c r="J75">
        <v>2000</v>
      </c>
      <c r="K75">
        <v>2305.8000000000002</v>
      </c>
    </row>
    <row r="76" spans="1:14" ht="15" thickBot="1" x14ac:dyDescent="0.35">
      <c r="A76" s="4" t="s">
        <v>6</v>
      </c>
      <c r="B76" s="4"/>
      <c r="C76" s="5">
        <f>SUM(C68:C75)</f>
        <v>33261.100000000006</v>
      </c>
      <c r="D76" s="5">
        <f>SUM(D68:D75)</f>
        <v>24379.809999999998</v>
      </c>
      <c r="E76" s="5">
        <f>C76-D76</f>
        <v>8881.2900000000081</v>
      </c>
    </row>
    <row r="77" spans="1:14" ht="15" thickTop="1" x14ac:dyDescent="0.3"/>
    <row r="80" spans="1:14" x14ac:dyDescent="0.3">
      <c r="A80" t="s">
        <v>41</v>
      </c>
      <c r="C80" s="1">
        <v>250</v>
      </c>
      <c r="D80" s="1">
        <f>SUM(F80:XFD80)</f>
        <v>275.5</v>
      </c>
      <c r="E80" s="3">
        <f>C80-D80</f>
        <v>-25.5</v>
      </c>
      <c r="H80">
        <v>275.5</v>
      </c>
    </row>
    <row r="81" spans="1:5" x14ac:dyDescent="0.3">
      <c r="A81" t="s">
        <v>42</v>
      </c>
      <c r="C81" s="1">
        <v>3000</v>
      </c>
      <c r="D81" s="1">
        <f>SUM(F81:XFD81)</f>
        <v>0</v>
      </c>
      <c r="E81" s="3">
        <f>C81-D81</f>
        <v>3000</v>
      </c>
    </row>
    <row r="82" spans="1:5" x14ac:dyDescent="0.3">
      <c r="A82" t="s">
        <v>43</v>
      </c>
      <c r="C82" s="1">
        <v>200</v>
      </c>
      <c r="D82" s="1">
        <f>SUM(F82:XFD82)</f>
        <v>0</v>
      </c>
      <c r="E82" s="3">
        <f>C82-D82</f>
        <v>200</v>
      </c>
    </row>
    <row r="83" spans="1:5" x14ac:dyDescent="0.3">
      <c r="A83" t="s">
        <v>44</v>
      </c>
      <c r="C83" s="1">
        <v>1500</v>
      </c>
      <c r="D83" s="1">
        <f>SUM(F83:XFD83)</f>
        <v>0</v>
      </c>
      <c r="E83" s="3">
        <f>C83-D83</f>
        <v>1500</v>
      </c>
    </row>
    <row r="84" spans="1:5" ht="15" thickBot="1" x14ac:dyDescent="0.35">
      <c r="A84" s="4" t="s">
        <v>6</v>
      </c>
      <c r="B84" s="4"/>
      <c r="C84" s="5">
        <f>SUM(C80:C83)</f>
        <v>4950</v>
      </c>
      <c r="D84" s="5">
        <f>SUM(D80:D83)</f>
        <v>275.5</v>
      </c>
      <c r="E84" s="5">
        <f>C84-D84</f>
        <v>4674.5</v>
      </c>
    </row>
    <row r="85" spans="1:5" ht="15" thickTop="1" x14ac:dyDescent="0.3"/>
  </sheetData>
  <conditionalFormatting sqref="E17:E84">
    <cfRule type="cellIs" dxfId="1" priority="1" operator="lessThan">
      <formula>0</formula>
    </cfRule>
    <cfRule type="cellIs" dxfId="0" priority="2" operator="greaterThan">
      <formula>0</formula>
    </cfRule>
    <cfRule type="cellIs" priority="3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91E5-56D8-4602-B886-50980850EDF9}">
  <dimension ref="A3:I43"/>
  <sheetViews>
    <sheetView topLeftCell="A20" workbookViewId="0">
      <selection activeCell="A43" sqref="A43"/>
    </sheetView>
  </sheetViews>
  <sheetFormatPr baseColWidth="10" defaultRowHeight="14.4" x14ac:dyDescent="0.3"/>
  <cols>
    <col min="1" max="1" width="19.21875" bestFit="1" customWidth="1"/>
    <col min="2" max="2" width="12.5546875" bestFit="1" customWidth="1"/>
    <col min="3" max="3" width="12.88671875" bestFit="1" customWidth="1"/>
  </cols>
  <sheetData>
    <row r="3" spans="1:9" x14ac:dyDescent="0.3">
      <c r="A3" s="23" t="s">
        <v>81</v>
      </c>
      <c r="B3" s="23" t="s">
        <v>82</v>
      </c>
      <c r="C3" s="23" t="s">
        <v>83</v>
      </c>
      <c r="D3" s="23" t="s">
        <v>84</v>
      </c>
      <c r="E3" s="23" t="s">
        <v>85</v>
      </c>
      <c r="F3" s="23" t="s">
        <v>118</v>
      </c>
    </row>
    <row r="4" spans="1:9" x14ac:dyDescent="0.3">
      <c r="A4" t="s">
        <v>76</v>
      </c>
      <c r="B4" t="s">
        <v>77</v>
      </c>
      <c r="C4" t="s">
        <v>79</v>
      </c>
      <c r="D4">
        <v>25</v>
      </c>
      <c r="E4" s="1">
        <f>18/100</f>
        <v>0.18</v>
      </c>
      <c r="F4" s="3">
        <f>D4*E4</f>
        <v>4.5</v>
      </c>
    </row>
    <row r="5" spans="1:9" x14ac:dyDescent="0.3">
      <c r="A5" t="s">
        <v>76</v>
      </c>
      <c r="B5" t="s">
        <v>78</v>
      </c>
      <c r="C5" t="s">
        <v>80</v>
      </c>
      <c r="D5">
        <v>25</v>
      </c>
      <c r="E5" s="1">
        <f>21.8/100</f>
        <v>0.218</v>
      </c>
      <c r="F5" s="3">
        <f t="shared" ref="F5:F23" si="0">D5*E5</f>
        <v>5.45</v>
      </c>
    </row>
    <row r="6" spans="1:9" x14ac:dyDescent="0.3">
      <c r="A6" t="s">
        <v>86</v>
      </c>
      <c r="B6" t="s">
        <v>77</v>
      </c>
      <c r="C6" t="s">
        <v>87</v>
      </c>
      <c r="D6">
        <v>25</v>
      </c>
      <c r="E6" s="1">
        <f>70/100</f>
        <v>0.7</v>
      </c>
      <c r="F6" s="3">
        <f t="shared" si="0"/>
        <v>17.5</v>
      </c>
    </row>
    <row r="7" spans="1:9" x14ac:dyDescent="0.3">
      <c r="A7" t="s">
        <v>86</v>
      </c>
      <c r="B7" t="s">
        <v>88</v>
      </c>
      <c r="C7" t="s">
        <v>89</v>
      </c>
      <c r="D7">
        <v>25</v>
      </c>
      <c r="E7" s="1">
        <f>193.4/100</f>
        <v>1.9340000000000002</v>
      </c>
      <c r="F7" s="3">
        <f t="shared" si="0"/>
        <v>48.35</v>
      </c>
    </row>
    <row r="8" spans="1:9" x14ac:dyDescent="0.3">
      <c r="A8" t="s">
        <v>90</v>
      </c>
      <c r="B8" t="s">
        <v>91</v>
      </c>
      <c r="C8" t="s">
        <v>92</v>
      </c>
      <c r="D8">
        <v>150</v>
      </c>
      <c r="E8" s="1">
        <f>16.77/100</f>
        <v>0.16769999999999999</v>
      </c>
      <c r="F8" s="3">
        <f t="shared" si="0"/>
        <v>25.154999999999998</v>
      </c>
    </row>
    <row r="9" spans="1:9" x14ac:dyDescent="0.3">
      <c r="C9" t="s">
        <v>89</v>
      </c>
      <c r="F9" s="3"/>
    </row>
    <row r="10" spans="1:9" x14ac:dyDescent="0.3">
      <c r="A10" t="s">
        <v>93</v>
      </c>
      <c r="B10" t="s">
        <v>94</v>
      </c>
      <c r="C10" t="s">
        <v>95</v>
      </c>
      <c r="D10">
        <v>100</v>
      </c>
      <c r="E10">
        <f>671.26/1000</f>
        <v>0.67125999999999997</v>
      </c>
      <c r="F10" s="3">
        <f t="shared" si="0"/>
        <v>67.125999999999991</v>
      </c>
      <c r="H10" t="s">
        <v>127</v>
      </c>
      <c r="I10">
        <v>3</v>
      </c>
    </row>
    <row r="11" spans="1:9" x14ac:dyDescent="0.3">
      <c r="A11" t="s">
        <v>93</v>
      </c>
      <c r="B11" t="s">
        <v>96</v>
      </c>
      <c r="C11" t="s">
        <v>97</v>
      </c>
      <c r="D11">
        <v>50</v>
      </c>
      <c r="E11">
        <f>811.38/1000</f>
        <v>0.81137999999999999</v>
      </c>
      <c r="F11" s="3">
        <f t="shared" si="0"/>
        <v>40.569000000000003</v>
      </c>
    </row>
    <row r="12" spans="1:9" x14ac:dyDescent="0.3">
      <c r="A12" t="s">
        <v>98</v>
      </c>
      <c r="B12" t="s">
        <v>96</v>
      </c>
      <c r="C12" t="s">
        <v>99</v>
      </c>
      <c r="D12">
        <v>50</v>
      </c>
      <c r="E12">
        <f>1232.14/1000</f>
        <v>1.23214</v>
      </c>
      <c r="F12" s="3">
        <f t="shared" si="0"/>
        <v>61.606999999999999</v>
      </c>
      <c r="H12" t="s">
        <v>128</v>
      </c>
      <c r="I12">
        <v>1</v>
      </c>
    </row>
    <row r="13" spans="1:9" x14ac:dyDescent="0.3">
      <c r="A13" t="s">
        <v>100</v>
      </c>
      <c r="B13" t="s">
        <v>96</v>
      </c>
      <c r="C13" t="s">
        <v>101</v>
      </c>
      <c r="D13">
        <v>50</v>
      </c>
      <c r="E13">
        <f>1919.95/1000</f>
        <v>1.91995</v>
      </c>
      <c r="F13" s="3">
        <f t="shared" si="0"/>
        <v>95.997500000000002</v>
      </c>
      <c r="H13" t="s">
        <v>128</v>
      </c>
      <c r="I13">
        <v>1</v>
      </c>
    </row>
    <row r="14" spans="1:9" x14ac:dyDescent="0.3">
      <c r="A14" t="s">
        <v>102</v>
      </c>
      <c r="B14" t="s">
        <v>96</v>
      </c>
      <c r="C14" t="s">
        <v>103</v>
      </c>
      <c r="D14">
        <v>50</v>
      </c>
      <c r="E14">
        <f>4013.16/1000</f>
        <v>4.0131600000000001</v>
      </c>
      <c r="F14" s="3">
        <f t="shared" si="0"/>
        <v>200.65800000000002</v>
      </c>
      <c r="H14" t="s">
        <v>129</v>
      </c>
      <c r="I14">
        <v>0.4</v>
      </c>
    </row>
    <row r="15" spans="1:9" x14ac:dyDescent="0.3">
      <c r="A15" t="s">
        <v>120</v>
      </c>
      <c r="B15" t="s">
        <v>96</v>
      </c>
      <c r="C15" t="s">
        <v>121</v>
      </c>
      <c r="D15">
        <v>50</v>
      </c>
      <c r="E15">
        <f>10456.44/1000</f>
        <v>10.456440000000001</v>
      </c>
      <c r="F15" s="3">
        <f t="shared" ref="F15" si="1">D15*E15</f>
        <v>522.822</v>
      </c>
      <c r="H15" t="s">
        <v>130</v>
      </c>
      <c r="I15">
        <v>0.08</v>
      </c>
    </row>
    <row r="16" spans="1:9" x14ac:dyDescent="0.3">
      <c r="F16" s="3"/>
    </row>
    <row r="17" spans="1:9" x14ac:dyDescent="0.3">
      <c r="A17" t="s">
        <v>104</v>
      </c>
      <c r="B17" t="s">
        <v>105</v>
      </c>
      <c r="C17" t="s">
        <v>106</v>
      </c>
      <c r="D17">
        <v>100</v>
      </c>
      <c r="E17">
        <f>972/1000</f>
        <v>0.97199999999999998</v>
      </c>
      <c r="F17" s="3">
        <f t="shared" si="0"/>
        <v>97.2</v>
      </c>
    </row>
    <row r="18" spans="1:9" x14ac:dyDescent="0.3">
      <c r="A18" t="s">
        <v>104</v>
      </c>
      <c r="B18" t="s">
        <v>107</v>
      </c>
      <c r="C18" t="s">
        <v>108</v>
      </c>
      <c r="D18">
        <v>100</v>
      </c>
      <c r="E18">
        <f>1941/1000</f>
        <v>1.9410000000000001</v>
      </c>
      <c r="F18" s="3">
        <f t="shared" si="0"/>
        <v>194.1</v>
      </c>
    </row>
    <row r="19" spans="1:9" x14ac:dyDescent="0.3">
      <c r="F19" s="3"/>
    </row>
    <row r="20" spans="1:9" x14ac:dyDescent="0.3">
      <c r="A20" t="s">
        <v>109</v>
      </c>
      <c r="B20" t="s">
        <v>110</v>
      </c>
      <c r="C20" t="s">
        <v>111</v>
      </c>
      <c r="D20">
        <v>100</v>
      </c>
      <c r="E20">
        <f>73/100</f>
        <v>0.73</v>
      </c>
      <c r="F20" s="3">
        <f t="shared" si="0"/>
        <v>73</v>
      </c>
    </row>
    <row r="21" spans="1:9" x14ac:dyDescent="0.3">
      <c r="A21" t="s">
        <v>109</v>
      </c>
      <c r="B21" t="s">
        <v>112</v>
      </c>
      <c r="C21" t="s">
        <v>115</v>
      </c>
      <c r="D21">
        <v>100</v>
      </c>
      <c r="E21">
        <f>96/100</f>
        <v>0.96</v>
      </c>
      <c r="F21" s="3">
        <f t="shared" si="0"/>
        <v>96</v>
      </c>
    </row>
    <row r="22" spans="1:9" x14ac:dyDescent="0.3">
      <c r="A22" t="s">
        <v>109</v>
      </c>
      <c r="B22" t="s">
        <v>113</v>
      </c>
      <c r="C22" t="s">
        <v>116</v>
      </c>
      <c r="D22">
        <v>50</v>
      </c>
      <c r="E22">
        <f>114/100</f>
        <v>1.1399999999999999</v>
      </c>
      <c r="F22" s="3">
        <f t="shared" si="0"/>
        <v>56.999999999999993</v>
      </c>
    </row>
    <row r="23" spans="1:9" x14ac:dyDescent="0.3">
      <c r="A23" t="s">
        <v>109</v>
      </c>
      <c r="B23" t="s">
        <v>114</v>
      </c>
      <c r="C23" t="s">
        <v>117</v>
      </c>
      <c r="D23">
        <v>50</v>
      </c>
      <c r="E23">
        <f>204/100</f>
        <v>2.04</v>
      </c>
      <c r="F23" s="3">
        <f t="shared" si="0"/>
        <v>102</v>
      </c>
    </row>
    <row r="26" spans="1:9" x14ac:dyDescent="0.3">
      <c r="A26" t="s">
        <v>122</v>
      </c>
      <c r="B26" t="s">
        <v>123</v>
      </c>
      <c r="C26" t="s">
        <v>124</v>
      </c>
      <c r="D26">
        <v>100</v>
      </c>
      <c r="E26">
        <f>7.89/100</f>
        <v>7.8899999999999998E-2</v>
      </c>
      <c r="F26" s="1">
        <f>E26*D26</f>
        <v>7.89</v>
      </c>
      <c r="H26">
        <v>200</v>
      </c>
      <c r="I26">
        <v>2</v>
      </c>
    </row>
    <row r="27" spans="1:9" x14ac:dyDescent="0.3">
      <c r="A27" t="s">
        <v>122</v>
      </c>
      <c r="B27" t="s">
        <v>125</v>
      </c>
      <c r="C27" t="s">
        <v>126</v>
      </c>
      <c r="D27">
        <v>100</v>
      </c>
      <c r="E27">
        <f>8.25/100</f>
        <v>8.2500000000000004E-2</v>
      </c>
      <c r="F27" s="1">
        <f t="shared" ref="F27:F31" si="2">E27*D27</f>
        <v>8.25</v>
      </c>
      <c r="H27">
        <v>200</v>
      </c>
      <c r="I27">
        <v>2</v>
      </c>
    </row>
    <row r="28" spans="1:9" x14ac:dyDescent="0.3">
      <c r="A28" t="s">
        <v>90</v>
      </c>
      <c r="B28" t="s">
        <v>91</v>
      </c>
      <c r="C28" t="s">
        <v>92</v>
      </c>
      <c r="D28">
        <v>150</v>
      </c>
      <c r="E28">
        <f>16.77/100</f>
        <v>0.16769999999999999</v>
      </c>
      <c r="F28" s="1">
        <f t="shared" si="2"/>
        <v>25.154999999999998</v>
      </c>
      <c r="H28">
        <v>300</v>
      </c>
      <c r="I28">
        <v>2</v>
      </c>
    </row>
    <row r="29" spans="1:9" x14ac:dyDescent="0.3">
      <c r="F29" s="1"/>
    </row>
    <row r="30" spans="1:9" x14ac:dyDescent="0.3">
      <c r="F30" s="1"/>
    </row>
    <row r="31" spans="1:9" x14ac:dyDescent="0.3">
      <c r="A31" t="s">
        <v>131</v>
      </c>
      <c r="B31" t="s">
        <v>132</v>
      </c>
      <c r="C31" t="s">
        <v>133</v>
      </c>
      <c r="D31">
        <v>5</v>
      </c>
      <c r="E31">
        <v>7.91</v>
      </c>
      <c r="F31" s="1">
        <f t="shared" si="2"/>
        <v>39.549999999999997</v>
      </c>
    </row>
    <row r="32" spans="1:9" x14ac:dyDescent="0.3">
      <c r="F32" s="1"/>
    </row>
    <row r="33" spans="1:6" x14ac:dyDescent="0.3">
      <c r="A33" t="s">
        <v>134</v>
      </c>
      <c r="B33" t="s">
        <v>136</v>
      </c>
      <c r="C33" t="s">
        <v>138</v>
      </c>
      <c r="D33">
        <v>100</v>
      </c>
      <c r="E33">
        <f>30/100</f>
        <v>0.3</v>
      </c>
      <c r="F33" s="1">
        <f>E33*D33</f>
        <v>30</v>
      </c>
    </row>
    <row r="34" spans="1:6" x14ac:dyDescent="0.3">
      <c r="A34" t="s">
        <v>134</v>
      </c>
      <c r="B34" t="s">
        <v>135</v>
      </c>
      <c r="C34" t="s">
        <v>139</v>
      </c>
      <c r="D34">
        <v>50</v>
      </c>
      <c r="E34">
        <f>37/100</f>
        <v>0.37</v>
      </c>
      <c r="F34" s="1">
        <f t="shared" ref="F34:F40" si="3">E34*D34</f>
        <v>18.5</v>
      </c>
    </row>
    <row r="35" spans="1:6" x14ac:dyDescent="0.3">
      <c r="A35" t="s">
        <v>134</v>
      </c>
      <c r="B35" t="s">
        <v>137</v>
      </c>
      <c r="C35" t="s">
        <v>140</v>
      </c>
      <c r="D35">
        <v>25</v>
      </c>
      <c r="E35">
        <f>60/100</f>
        <v>0.6</v>
      </c>
      <c r="F35" s="1">
        <f t="shared" si="3"/>
        <v>15</v>
      </c>
    </row>
    <row r="36" spans="1:6" x14ac:dyDescent="0.3">
      <c r="A36" t="s">
        <v>141</v>
      </c>
      <c r="B36" t="s">
        <v>136</v>
      </c>
      <c r="C36" t="s">
        <v>144</v>
      </c>
      <c r="D36">
        <v>1000</v>
      </c>
      <c r="E36">
        <f>14/100</f>
        <v>0.14000000000000001</v>
      </c>
      <c r="F36" s="1">
        <f t="shared" si="3"/>
        <v>140</v>
      </c>
    </row>
    <row r="37" spans="1:6" x14ac:dyDescent="0.3">
      <c r="A37" t="s">
        <v>141</v>
      </c>
      <c r="B37" t="s">
        <v>135</v>
      </c>
      <c r="C37" t="s">
        <v>145</v>
      </c>
      <c r="D37">
        <v>1000</v>
      </c>
      <c r="E37">
        <v>0.14199999999999999</v>
      </c>
      <c r="F37" s="1">
        <f t="shared" si="3"/>
        <v>142</v>
      </c>
    </row>
    <row r="38" spans="1:6" x14ac:dyDescent="0.3">
      <c r="A38" t="s">
        <v>141</v>
      </c>
      <c r="B38" t="s">
        <v>142</v>
      </c>
      <c r="C38" t="s">
        <v>146</v>
      </c>
      <c r="D38">
        <v>1000</v>
      </c>
      <c r="E38">
        <v>0.19</v>
      </c>
      <c r="F38" s="1">
        <f t="shared" si="3"/>
        <v>190</v>
      </c>
    </row>
    <row r="39" spans="1:6" x14ac:dyDescent="0.3">
      <c r="A39" t="s">
        <v>141</v>
      </c>
      <c r="B39" t="s">
        <v>137</v>
      </c>
      <c r="C39" t="s">
        <v>147</v>
      </c>
      <c r="D39">
        <v>1000</v>
      </c>
      <c r="E39">
        <v>0.2</v>
      </c>
      <c r="F39" s="1">
        <f t="shared" si="3"/>
        <v>200</v>
      </c>
    </row>
    <row r="40" spans="1:6" x14ac:dyDescent="0.3">
      <c r="A40" t="s">
        <v>141</v>
      </c>
      <c r="B40" t="s">
        <v>143</v>
      </c>
      <c r="C40" t="s">
        <v>148</v>
      </c>
      <c r="D40">
        <v>500</v>
      </c>
      <c r="E40">
        <v>0.37</v>
      </c>
      <c r="F40" s="1">
        <f t="shared" si="3"/>
        <v>185</v>
      </c>
    </row>
    <row r="42" spans="1:6" x14ac:dyDescent="0.3">
      <c r="A42" t="s">
        <v>149</v>
      </c>
      <c r="B42" t="s">
        <v>152</v>
      </c>
      <c r="C42" t="s">
        <v>150</v>
      </c>
      <c r="D42">
        <v>25</v>
      </c>
      <c r="E42">
        <f>53.3/100</f>
        <v>0.53299999999999992</v>
      </c>
    </row>
    <row r="43" spans="1:6" x14ac:dyDescent="0.3">
      <c r="A43" t="s">
        <v>151</v>
      </c>
      <c r="B43" t="s">
        <v>153</v>
      </c>
      <c r="C43" t="s">
        <v>154</v>
      </c>
      <c r="D43">
        <v>50</v>
      </c>
      <c r="E43">
        <f>48.1/100</f>
        <v>0.48100000000000004</v>
      </c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0179-0B3D-4414-8305-8ED9DE00455D}">
  <dimension ref="A4:I30"/>
  <sheetViews>
    <sheetView topLeftCell="A4" workbookViewId="0">
      <selection activeCell="H31" sqref="H31"/>
    </sheetView>
  </sheetViews>
  <sheetFormatPr baseColWidth="10" defaultRowHeight="14.4" x14ac:dyDescent="0.3"/>
  <cols>
    <col min="1" max="1" width="20.6640625" bestFit="1" customWidth="1"/>
    <col min="7" max="7" width="12.33203125" bestFit="1" customWidth="1"/>
  </cols>
  <sheetData>
    <row r="4" spans="1:9" x14ac:dyDescent="0.3">
      <c r="A4" t="s">
        <v>47</v>
      </c>
    </row>
    <row r="6" spans="1:9" x14ac:dyDescent="0.3">
      <c r="A6" t="s">
        <v>48</v>
      </c>
      <c r="B6" s="20">
        <v>2700</v>
      </c>
      <c r="C6" s="1">
        <f>100+B6*0.2644</f>
        <v>813.88000000000011</v>
      </c>
      <c r="D6" s="3">
        <f t="shared" ref="D6:D16" si="0">C6/12</f>
        <v>67.823333333333338</v>
      </c>
    </row>
    <row r="7" spans="1:9" x14ac:dyDescent="0.3">
      <c r="A7" t="s">
        <v>49</v>
      </c>
      <c r="B7" s="20">
        <v>6000</v>
      </c>
      <c r="C7" s="1">
        <f>B7*0.26365+70</f>
        <v>1651.8999999999999</v>
      </c>
      <c r="D7" s="3">
        <f t="shared" si="0"/>
        <v>137.65833333333333</v>
      </c>
    </row>
    <row r="8" spans="1:9" x14ac:dyDescent="0.3">
      <c r="A8" t="s">
        <v>50</v>
      </c>
      <c r="B8" s="20">
        <v>90</v>
      </c>
      <c r="C8" s="1">
        <f>B8*1.7</f>
        <v>153</v>
      </c>
      <c r="D8" s="1">
        <f t="shared" si="0"/>
        <v>12.75</v>
      </c>
      <c r="G8" s="21"/>
      <c r="H8" s="21" t="s">
        <v>59</v>
      </c>
      <c r="I8" s="21" t="s">
        <v>60</v>
      </c>
    </row>
    <row r="9" spans="1:9" x14ac:dyDescent="0.3">
      <c r="A9" t="s">
        <v>51</v>
      </c>
      <c r="B9" s="20">
        <v>90</v>
      </c>
      <c r="C9" s="1">
        <f>3.12*B9</f>
        <v>280.8</v>
      </c>
      <c r="D9" s="1">
        <f t="shared" si="0"/>
        <v>23.400000000000002</v>
      </c>
      <c r="G9" t="s">
        <v>58</v>
      </c>
      <c r="H9" s="1">
        <v>983.4</v>
      </c>
      <c r="I9" s="1">
        <v>1186.3800000000001</v>
      </c>
    </row>
    <row r="10" spans="1:9" x14ac:dyDescent="0.3">
      <c r="A10" t="s">
        <v>52</v>
      </c>
      <c r="B10" s="20">
        <v>12</v>
      </c>
      <c r="C10" s="1">
        <f>B10*52</f>
        <v>624</v>
      </c>
      <c r="D10" s="1">
        <f t="shared" si="0"/>
        <v>52</v>
      </c>
      <c r="G10" t="s">
        <v>61</v>
      </c>
      <c r="H10" s="1">
        <f>D22</f>
        <v>437.30999999999995</v>
      </c>
      <c r="I10" s="1">
        <f>D22</f>
        <v>437.30999999999995</v>
      </c>
    </row>
    <row r="11" spans="1:9" x14ac:dyDescent="0.3">
      <c r="A11" t="s">
        <v>53</v>
      </c>
      <c r="C11" s="1">
        <v>550</v>
      </c>
      <c r="D11" s="1">
        <f t="shared" si="0"/>
        <v>45.833333333333336</v>
      </c>
      <c r="G11" t="s">
        <v>62</v>
      </c>
      <c r="H11" s="1">
        <v>0</v>
      </c>
      <c r="I11" s="1">
        <v>-170</v>
      </c>
    </row>
    <row r="12" spans="1:9" ht="15" thickBot="1" x14ac:dyDescent="0.35">
      <c r="A12" t="s">
        <v>54</v>
      </c>
      <c r="C12" s="1">
        <v>150</v>
      </c>
      <c r="D12" s="1">
        <f t="shared" si="0"/>
        <v>12.5</v>
      </c>
      <c r="G12" s="4" t="s">
        <v>63</v>
      </c>
      <c r="H12" s="5">
        <f>SUM(H9:H11)</f>
        <v>1420.71</v>
      </c>
      <c r="I12" s="5">
        <f>SUM(I9:I11)</f>
        <v>1453.69</v>
      </c>
    </row>
    <row r="13" spans="1:9" ht="15" thickTop="1" x14ac:dyDescent="0.3">
      <c r="A13" t="s">
        <v>55</v>
      </c>
      <c r="C13" s="1">
        <f>12*27</f>
        <v>324</v>
      </c>
      <c r="D13" s="1">
        <f t="shared" si="0"/>
        <v>27</v>
      </c>
    </row>
    <row r="14" spans="1:9" x14ac:dyDescent="0.3">
      <c r="A14" t="s">
        <v>56</v>
      </c>
      <c r="C14" s="1">
        <v>300</v>
      </c>
      <c r="D14" s="1">
        <f t="shared" si="0"/>
        <v>25</v>
      </c>
    </row>
    <row r="15" spans="1:9" x14ac:dyDescent="0.3">
      <c r="A15" t="s">
        <v>57</v>
      </c>
      <c r="C15" s="1">
        <f>4.5+161.64+24</f>
        <v>190.14</v>
      </c>
      <c r="D15" s="1">
        <f t="shared" si="0"/>
        <v>15.844999999999999</v>
      </c>
    </row>
    <row r="16" spans="1:9" x14ac:dyDescent="0.3">
      <c r="A16" t="s">
        <v>64</v>
      </c>
      <c r="C16" s="1">
        <f>52.5*4</f>
        <v>210</v>
      </c>
      <c r="D16" s="1">
        <f t="shared" si="0"/>
        <v>17.5</v>
      </c>
    </row>
    <row r="20" spans="3:8" x14ac:dyDescent="0.3">
      <c r="H20">
        <v>150</v>
      </c>
    </row>
    <row r="21" spans="3:8" x14ac:dyDescent="0.3">
      <c r="H21">
        <v>25</v>
      </c>
    </row>
    <row r="22" spans="3:8" x14ac:dyDescent="0.3">
      <c r="C22" s="3">
        <f>SUM(C6:C21)</f>
        <v>5247.72</v>
      </c>
      <c r="D22" s="3">
        <f>SUM(D6:D21)</f>
        <v>437.30999999999995</v>
      </c>
      <c r="H22">
        <v>200</v>
      </c>
    </row>
    <row r="23" spans="3:8" x14ac:dyDescent="0.3">
      <c r="H23">
        <v>35</v>
      </c>
    </row>
    <row r="24" spans="3:8" x14ac:dyDescent="0.3">
      <c r="H24">
        <v>50</v>
      </c>
    </row>
    <row r="25" spans="3:8" x14ac:dyDescent="0.3">
      <c r="H25">
        <v>55</v>
      </c>
    </row>
    <row r="26" spans="3:8" x14ac:dyDescent="0.3">
      <c r="H26">
        <v>40</v>
      </c>
    </row>
    <row r="30" spans="3:8" x14ac:dyDescent="0.3">
      <c r="H30">
        <f>SUM(H20:H29)</f>
        <v>555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BEAB-24B2-49CB-928F-88B1A74B47C7}">
  <dimension ref="A2:I26"/>
  <sheetViews>
    <sheetView workbookViewId="0">
      <selection activeCell="K17" sqref="K17"/>
    </sheetView>
  </sheetViews>
  <sheetFormatPr baseColWidth="10" defaultRowHeight="14.4" x14ac:dyDescent="0.3"/>
  <cols>
    <col min="1" max="1" width="15.33203125" bestFit="1" customWidth="1"/>
    <col min="2" max="3" width="9.44140625" bestFit="1" customWidth="1"/>
    <col min="4" max="4" width="10.33203125" bestFit="1" customWidth="1"/>
    <col min="5" max="5" width="11.5546875" bestFit="1" customWidth="1"/>
    <col min="6" max="6" width="14.5546875" bestFit="1" customWidth="1"/>
    <col min="7" max="7" width="17" bestFit="1" customWidth="1"/>
  </cols>
  <sheetData>
    <row r="2" spans="1:9" x14ac:dyDescent="0.3">
      <c r="B2" t="s">
        <v>66</v>
      </c>
      <c r="C2" t="s">
        <v>67</v>
      </c>
      <c r="D2" t="s">
        <v>69</v>
      </c>
      <c r="E2" t="s">
        <v>68</v>
      </c>
      <c r="F2" t="s">
        <v>70</v>
      </c>
      <c r="G2" t="s">
        <v>71</v>
      </c>
    </row>
    <row r="3" spans="1:9" x14ac:dyDescent="0.3">
      <c r="A3" s="22">
        <v>44562</v>
      </c>
      <c r="B3" s="1">
        <v>720</v>
      </c>
      <c r="C3" s="1">
        <v>0</v>
      </c>
      <c r="D3" s="1">
        <v>0</v>
      </c>
      <c r="E3" s="1">
        <v>0</v>
      </c>
      <c r="F3" s="1">
        <f>SUM(C3:E3)</f>
        <v>0</v>
      </c>
      <c r="G3" s="1">
        <f>F3+B3</f>
        <v>720</v>
      </c>
    </row>
    <row r="4" spans="1:9" x14ac:dyDescent="0.3">
      <c r="A4" s="22">
        <v>44593</v>
      </c>
      <c r="B4" s="1">
        <v>720</v>
      </c>
      <c r="C4" s="1">
        <v>0</v>
      </c>
      <c r="D4" s="1">
        <v>0</v>
      </c>
      <c r="E4" s="1">
        <v>0</v>
      </c>
      <c r="F4" s="1">
        <f t="shared" ref="F4:F26" si="0">SUM(C4:E4)</f>
        <v>0</v>
      </c>
      <c r="G4" s="1">
        <f t="shared" ref="G4:G26" si="1">F4+B4</f>
        <v>720</v>
      </c>
    </row>
    <row r="5" spans="1:9" x14ac:dyDescent="0.3">
      <c r="A5" s="22">
        <v>44621</v>
      </c>
      <c r="B5" s="1">
        <v>720</v>
      </c>
      <c r="C5" s="1">
        <v>427.5</v>
      </c>
      <c r="D5" s="1">
        <v>362.08</v>
      </c>
      <c r="E5" s="1">
        <v>0</v>
      </c>
      <c r="F5" s="1">
        <f t="shared" si="0"/>
        <v>789.57999999999993</v>
      </c>
      <c r="G5" s="1">
        <f t="shared" si="1"/>
        <v>1509.58</v>
      </c>
      <c r="H5" s="3">
        <f>G5-B5</f>
        <v>789.57999999999993</v>
      </c>
      <c r="I5" s="26">
        <f>SUM(H5:H9)</f>
        <v>3947.8999999999996</v>
      </c>
    </row>
    <row r="6" spans="1:9" x14ac:dyDescent="0.3">
      <c r="A6" s="22">
        <v>44652</v>
      </c>
      <c r="B6" s="1">
        <v>720</v>
      </c>
      <c r="C6" s="1">
        <v>427.5</v>
      </c>
      <c r="D6" s="1">
        <v>362.08</v>
      </c>
      <c r="E6" s="1">
        <v>0</v>
      </c>
      <c r="F6" s="1">
        <f t="shared" si="0"/>
        <v>789.57999999999993</v>
      </c>
      <c r="G6" s="1">
        <f t="shared" si="1"/>
        <v>1509.58</v>
      </c>
      <c r="H6" s="3">
        <f>G6-B6</f>
        <v>789.57999999999993</v>
      </c>
      <c r="I6" s="27"/>
    </row>
    <row r="7" spans="1:9" x14ac:dyDescent="0.3">
      <c r="A7" s="22">
        <v>44682</v>
      </c>
      <c r="B7" s="1">
        <v>720</v>
      </c>
      <c r="C7" s="1">
        <v>427.5</v>
      </c>
      <c r="D7" s="1">
        <v>362.08</v>
      </c>
      <c r="E7" s="1">
        <v>0</v>
      </c>
      <c r="F7" s="1">
        <f t="shared" si="0"/>
        <v>789.57999999999993</v>
      </c>
      <c r="G7" s="1">
        <f t="shared" si="1"/>
        <v>1509.58</v>
      </c>
      <c r="H7" s="3">
        <f>G7-B7</f>
        <v>789.57999999999993</v>
      </c>
      <c r="I7" s="27"/>
    </row>
    <row r="8" spans="1:9" x14ac:dyDescent="0.3">
      <c r="A8" s="22">
        <v>44713</v>
      </c>
      <c r="B8" s="1">
        <v>720</v>
      </c>
      <c r="C8" s="1">
        <v>427.5</v>
      </c>
      <c r="D8" s="1">
        <v>362.08</v>
      </c>
      <c r="E8" s="1">
        <v>0</v>
      </c>
      <c r="F8" s="1">
        <f t="shared" si="0"/>
        <v>789.57999999999993</v>
      </c>
      <c r="G8" s="1">
        <f t="shared" si="1"/>
        <v>1509.58</v>
      </c>
      <c r="H8" s="3">
        <f>G8-B8</f>
        <v>789.57999999999993</v>
      </c>
      <c r="I8" s="27"/>
    </row>
    <row r="9" spans="1:9" x14ac:dyDescent="0.3">
      <c r="A9" s="22">
        <v>44743</v>
      </c>
      <c r="B9" s="1">
        <v>720</v>
      </c>
      <c r="C9" s="1">
        <v>427.5</v>
      </c>
      <c r="D9" s="1">
        <v>362.08</v>
      </c>
      <c r="E9" s="1">
        <v>0</v>
      </c>
      <c r="F9" s="1">
        <f t="shared" si="0"/>
        <v>789.57999999999993</v>
      </c>
      <c r="G9" s="1">
        <f t="shared" si="1"/>
        <v>1509.58</v>
      </c>
      <c r="H9" s="3">
        <f>G9-B9</f>
        <v>789.57999999999993</v>
      </c>
      <c r="I9" s="27"/>
    </row>
    <row r="10" spans="1:9" x14ac:dyDescent="0.3">
      <c r="A10" s="22">
        <v>44774</v>
      </c>
      <c r="B10" s="1">
        <v>0</v>
      </c>
      <c r="C10" s="1">
        <v>427.5</v>
      </c>
      <c r="D10" s="1">
        <v>362.08</v>
      </c>
      <c r="E10" s="1">
        <v>0</v>
      </c>
      <c r="F10" s="1">
        <f t="shared" si="0"/>
        <v>789.57999999999993</v>
      </c>
      <c r="G10" s="1">
        <f t="shared" si="1"/>
        <v>789.57999999999993</v>
      </c>
    </row>
    <row r="11" spans="1:9" x14ac:dyDescent="0.3">
      <c r="A11" s="22">
        <v>44805</v>
      </c>
      <c r="B11" s="1">
        <v>0</v>
      </c>
      <c r="C11" s="1">
        <v>427.5</v>
      </c>
      <c r="D11" s="1">
        <v>362.08</v>
      </c>
      <c r="E11" s="1">
        <v>0</v>
      </c>
      <c r="F11" s="1">
        <f t="shared" si="0"/>
        <v>789.57999999999993</v>
      </c>
      <c r="G11" s="1">
        <f t="shared" si="1"/>
        <v>789.57999999999993</v>
      </c>
    </row>
    <row r="12" spans="1:9" x14ac:dyDescent="0.3">
      <c r="A12" s="22">
        <v>44835</v>
      </c>
      <c r="B12" s="1">
        <v>0</v>
      </c>
      <c r="C12" s="1">
        <v>427.5</v>
      </c>
      <c r="D12" s="1">
        <v>362.08</v>
      </c>
      <c r="E12" s="1">
        <v>0</v>
      </c>
      <c r="F12" s="1">
        <f t="shared" si="0"/>
        <v>789.57999999999993</v>
      </c>
      <c r="G12" s="1">
        <f t="shared" si="1"/>
        <v>789.57999999999993</v>
      </c>
    </row>
    <row r="13" spans="1:9" x14ac:dyDescent="0.3">
      <c r="A13" s="22">
        <v>44866</v>
      </c>
      <c r="B13" s="1">
        <v>0</v>
      </c>
      <c r="C13" s="1">
        <v>427.5</v>
      </c>
      <c r="D13" s="1">
        <v>362.08</v>
      </c>
      <c r="E13" s="1">
        <v>0</v>
      </c>
      <c r="F13" s="1">
        <f t="shared" si="0"/>
        <v>789.57999999999993</v>
      </c>
      <c r="G13" s="1">
        <f t="shared" si="1"/>
        <v>789.57999999999993</v>
      </c>
    </row>
    <row r="14" spans="1:9" x14ac:dyDescent="0.3">
      <c r="A14" s="22">
        <v>44896</v>
      </c>
      <c r="B14" s="1">
        <v>0</v>
      </c>
      <c r="C14" s="1">
        <v>427.5</v>
      </c>
      <c r="D14" s="1">
        <v>362.08</v>
      </c>
      <c r="E14" s="1">
        <v>0</v>
      </c>
      <c r="F14" s="1">
        <f t="shared" si="0"/>
        <v>789.57999999999993</v>
      </c>
      <c r="G14" s="1">
        <f t="shared" si="1"/>
        <v>789.57999999999993</v>
      </c>
    </row>
    <row r="15" spans="1:9" x14ac:dyDescent="0.3">
      <c r="A15" s="22">
        <v>44927</v>
      </c>
      <c r="B15" s="1">
        <v>0</v>
      </c>
      <c r="C15" s="1">
        <v>427.5</v>
      </c>
      <c r="D15" s="1">
        <v>362.08</v>
      </c>
      <c r="E15" s="1">
        <v>392.05</v>
      </c>
      <c r="F15" s="1">
        <f t="shared" si="0"/>
        <v>1181.6299999999999</v>
      </c>
      <c r="G15" s="1">
        <f t="shared" si="1"/>
        <v>1181.6299999999999</v>
      </c>
    </row>
    <row r="16" spans="1:9" x14ac:dyDescent="0.3">
      <c r="A16" s="22">
        <v>44958</v>
      </c>
      <c r="B16" s="1">
        <v>0</v>
      </c>
      <c r="C16" s="1">
        <v>427.5</v>
      </c>
      <c r="D16" s="1">
        <v>362.08</v>
      </c>
      <c r="E16" s="1">
        <v>392.05</v>
      </c>
      <c r="F16" s="1">
        <f t="shared" si="0"/>
        <v>1181.6299999999999</v>
      </c>
      <c r="G16" s="1">
        <f t="shared" si="1"/>
        <v>1181.6299999999999</v>
      </c>
    </row>
    <row r="17" spans="1:7" x14ac:dyDescent="0.3">
      <c r="A17" s="22">
        <v>44986</v>
      </c>
      <c r="B17" s="1">
        <v>0</v>
      </c>
      <c r="C17" s="1">
        <v>427.5</v>
      </c>
      <c r="D17" s="1">
        <v>362.08</v>
      </c>
      <c r="E17" s="1">
        <v>392.05</v>
      </c>
      <c r="F17" s="1">
        <f t="shared" si="0"/>
        <v>1181.6299999999999</v>
      </c>
      <c r="G17" s="1">
        <f t="shared" si="1"/>
        <v>1181.6299999999999</v>
      </c>
    </row>
    <row r="18" spans="1:7" x14ac:dyDescent="0.3">
      <c r="A18" s="22">
        <v>45017</v>
      </c>
      <c r="B18" s="1">
        <v>0</v>
      </c>
      <c r="C18" s="1">
        <v>427.5</v>
      </c>
      <c r="D18" s="1">
        <v>362.08</v>
      </c>
      <c r="E18" s="1">
        <v>392.05</v>
      </c>
      <c r="F18" s="1">
        <f t="shared" si="0"/>
        <v>1181.6299999999999</v>
      </c>
      <c r="G18" s="1">
        <f t="shared" si="1"/>
        <v>1181.6299999999999</v>
      </c>
    </row>
    <row r="19" spans="1:7" x14ac:dyDescent="0.3">
      <c r="A19" s="22">
        <v>45047</v>
      </c>
      <c r="B19" s="1">
        <v>0</v>
      </c>
      <c r="C19" s="1">
        <v>427.5</v>
      </c>
      <c r="D19" s="1">
        <v>362.08</v>
      </c>
      <c r="E19" s="1">
        <v>392.05</v>
      </c>
      <c r="F19" s="1">
        <f t="shared" si="0"/>
        <v>1181.6299999999999</v>
      </c>
      <c r="G19" s="1">
        <f t="shared" si="1"/>
        <v>1181.6299999999999</v>
      </c>
    </row>
    <row r="20" spans="1:7" x14ac:dyDescent="0.3">
      <c r="A20" s="22">
        <v>45078</v>
      </c>
      <c r="B20" s="1">
        <v>0</v>
      </c>
      <c r="C20" s="1">
        <v>427.5</v>
      </c>
      <c r="D20" s="1">
        <v>362.08</v>
      </c>
      <c r="E20" s="1">
        <v>392.05</v>
      </c>
      <c r="F20" s="1">
        <f t="shared" si="0"/>
        <v>1181.6299999999999</v>
      </c>
      <c r="G20" s="1">
        <f t="shared" si="1"/>
        <v>1181.6299999999999</v>
      </c>
    </row>
    <row r="21" spans="1:7" x14ac:dyDescent="0.3">
      <c r="A21" s="22">
        <v>45108</v>
      </c>
      <c r="B21" s="1">
        <v>0</v>
      </c>
      <c r="C21" s="1">
        <v>427.5</v>
      </c>
      <c r="D21" s="1">
        <v>362.08</v>
      </c>
      <c r="E21" s="1">
        <v>392.05</v>
      </c>
      <c r="F21" s="1">
        <f t="shared" si="0"/>
        <v>1181.6299999999999</v>
      </c>
      <c r="G21" s="1">
        <f t="shared" si="1"/>
        <v>1181.6299999999999</v>
      </c>
    </row>
    <row r="22" spans="1:7" x14ac:dyDescent="0.3">
      <c r="A22" s="22">
        <v>45139</v>
      </c>
      <c r="B22" s="1">
        <v>0</v>
      </c>
      <c r="C22" s="1">
        <v>427.5</v>
      </c>
      <c r="D22" s="1">
        <v>362.08</v>
      </c>
      <c r="E22" s="1">
        <v>392.05</v>
      </c>
      <c r="F22" s="1">
        <f t="shared" si="0"/>
        <v>1181.6299999999999</v>
      </c>
      <c r="G22" s="1">
        <f t="shared" si="1"/>
        <v>1181.6299999999999</v>
      </c>
    </row>
    <row r="23" spans="1:7" x14ac:dyDescent="0.3">
      <c r="A23" s="22">
        <v>45170</v>
      </c>
      <c r="B23" s="1">
        <v>0</v>
      </c>
      <c r="C23" s="1">
        <v>427.5</v>
      </c>
      <c r="D23" s="1">
        <v>362.08</v>
      </c>
      <c r="E23" s="1">
        <v>392.05</v>
      </c>
      <c r="F23" s="1">
        <f t="shared" si="0"/>
        <v>1181.6299999999999</v>
      </c>
      <c r="G23" s="1">
        <f t="shared" si="1"/>
        <v>1181.6299999999999</v>
      </c>
    </row>
    <row r="24" spans="1:7" x14ac:dyDescent="0.3">
      <c r="A24" s="22">
        <v>45200</v>
      </c>
      <c r="B24" s="1">
        <v>0</v>
      </c>
      <c r="C24" s="1">
        <v>427.5</v>
      </c>
      <c r="D24" s="1">
        <v>362.08</v>
      </c>
      <c r="E24" s="1">
        <v>392.05</v>
      </c>
      <c r="F24" s="1">
        <f t="shared" si="0"/>
        <v>1181.6299999999999</v>
      </c>
      <c r="G24" s="1">
        <f t="shared" si="1"/>
        <v>1181.6299999999999</v>
      </c>
    </row>
    <row r="25" spans="1:7" x14ac:dyDescent="0.3">
      <c r="A25" s="22">
        <v>45231</v>
      </c>
      <c r="B25" s="1">
        <v>0</v>
      </c>
      <c r="C25" s="1">
        <v>427.5</v>
      </c>
      <c r="D25" s="1">
        <v>362.08</v>
      </c>
      <c r="E25" s="1">
        <v>392.05</v>
      </c>
      <c r="F25" s="1">
        <f t="shared" si="0"/>
        <v>1181.6299999999999</v>
      </c>
      <c r="G25" s="1">
        <f t="shared" si="1"/>
        <v>1181.6299999999999</v>
      </c>
    </row>
    <row r="26" spans="1:7" x14ac:dyDescent="0.3">
      <c r="A26" s="22">
        <v>45261</v>
      </c>
      <c r="B26" s="1">
        <v>0</v>
      </c>
      <c r="C26" s="1">
        <v>427.5</v>
      </c>
      <c r="D26" s="1">
        <v>362.08</v>
      </c>
      <c r="E26" s="1">
        <v>392.05</v>
      </c>
      <c r="F26" s="1">
        <f t="shared" si="0"/>
        <v>1181.6299999999999</v>
      </c>
      <c r="G26" s="1">
        <f t="shared" si="1"/>
        <v>1181.6299999999999</v>
      </c>
    </row>
  </sheetData>
  <mergeCells count="1">
    <mergeCell ref="I5:I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Cordes Elektro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Informationstechnik</dc:creator>
  <cp:lastModifiedBy>Florian Hyner</cp:lastModifiedBy>
  <dcterms:created xsi:type="dcterms:W3CDTF">2021-12-16T10:19:56Z</dcterms:created>
  <dcterms:modified xsi:type="dcterms:W3CDTF">2022-06-29T06:41:59Z</dcterms:modified>
</cp:coreProperties>
</file>